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<sst xmlns="http://schemas.openxmlformats.org/spreadsheetml/2006/main" count="4310" uniqueCount="999">
  <si>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</si>
  <si>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</si>
  <si>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</si>
  <si>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</si>
  <si>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</si>
  <si>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</si>
  <si>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</si>
  <si>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</si>
  <si>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</si>
  <si>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</si>
  <si>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</si>
  <si>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</si>
  <si>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</si>
  <si>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</si>
  <si>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</si>
  <si>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</si>
  <si>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</si>
  <si>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</si>
  <si>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</si>
  <si>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</si>
  <si>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</si>
  <si>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</si>
  <si>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</si>
  <si>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</si>
  <si>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</si>
  <si>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</si>
  <si>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</si>
  <si>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</si>
  <si>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</si>
  <si>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</si>
  <si>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</si>
  <si>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</si>
  <si>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</si>
  <si>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</si>
  <si>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</si>
  <si>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</si>
  <si>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</si>
  <si>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</si>
  <si>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</si>
  <si>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</si>
  <si>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</si>
  <si>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</si>
  <si>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</si>
  <si>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</si>
  <si>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</si>
  <si>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</si>
  <si>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</si>
  <si>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</si>
  <si>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</si>
  <si>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</si>
  <si>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</si>
  <si>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</si>
  <si>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</si>
  <si>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</si>
  <si>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</si>
  <si>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</si>
  <si>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</si>
  <si>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</si>
  <si>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</si>
  <si>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</si>
  <si>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</si>
  <si>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</si>
  <si>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</si>
  <si>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</si>
  <si>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</si>
  <si>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</si>
  <si>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</si>
  <si>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</si>
  <si>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</si>
  <si>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</si>
  <si>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</si>
  <si>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</si>
  <si>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</si>
  <si>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</si>
  <si>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</si>
  <si>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</si>
  <si>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</si>
  <si>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</si>
  <si>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</si>
  <si>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</si>
  <si>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</si>
  <si>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</si>
  <si>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</si>
  <si>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</si>
  <si>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</si>
  <si>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</si>
  <si>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</si>
  <si>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</si>
  <si>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</si>
  <si>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</si>
  <si>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</si>
  <si>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</si>
  <si>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</si>
  <si>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</si>
  <si>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</si>
  <si>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</si>
  <si>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</si>
  <si>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</si>
  <si>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</si>
  <si>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</si>
  <si>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</si>
  <si>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</si>
  <si>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</si>
  <si>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</si>
  <si>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</si>
  <si>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</si>
  <si>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</si>
  <si>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</si>
  <si>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</si>
  <si>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</si>
  <si>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</si>
  <si>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</si>
  <si>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</si>
  <si>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</si>
  <si>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</si>
  <si>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</si>
  <si>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</si>
  <si>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</si>
  <si>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</si>
  <si>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</si>
  <si>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</si>
  <si>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</si>
  <si>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</si>
  <si>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</si>
  <si>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</si>
  <si>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</si>
  <si>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</si>
  <si>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</si>
  <si>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</si>
  <si>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</si>
  <si>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</si>
  <si>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</si>
  <si>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</si>
  <si>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</si>
  <si>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</si>
  <si>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</si>
  <si>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</si>
  <si>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</si>
  <si>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</si>
  <si>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</si>
  <si>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</si>
  <si>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</si>
  <si>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</si>
  <si>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</si>
  <si>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</si>
  <si>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</si>
  <si>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</si>
  <si>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</si>
  <si>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</si>
  <si>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</si>
  <si>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</si>
  <si>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</si>
  <si>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</si>
  <si>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</si>
  <si>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</si>
  <si>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</si>
  <si>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</si>
  <si>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</si>
  <si>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</si>
  <si>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</si>
  <si>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</si>
  <si>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</si>
  <si>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</si>
  <si>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</si>
  <si>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</si>
  <si>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</si>
  <si>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</si>
  <si>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</si>
  <si>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</si>
  <si>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</si>
  <si>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</si>
  <si>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</si>
  <si>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</si>
  <si>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</si>
  <si>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</si>
  <si>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</si>
  <si>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</si>
  <si>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</si>
  <si>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</si>
  <si>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</si>
  <si>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</si>
  <si>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</si>
  <si>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</si>
  <si>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</si>
  <si>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</si>
  <si>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</si>
  <si>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</si>
  <si>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</si>
  <si>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</si>
  <si>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</si>
  <si>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</si>
  <si>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</si>
  <si>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</si>
  <si>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</si>
  <si>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</si>
  <si>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</si>
  <si>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</si>
  <si>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</si>
  <si>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</si>
  <si>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</si>
  <si>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</si>
  <si>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</si>
  <si>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</si>
  <si>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</si>
  <si>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</si>
  <si>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</si>
  <si>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</si>
  <si>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</si>
  <si>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</si>
  <si>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</si>
  <si>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</si>
  <si>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</si>
  <si>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</si>
  <si>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</si>
  <si>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</si>
  <si>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</si>
  <si>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</si>
  <si>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</si>
  <si>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</si>
  <si>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</si>
  <si>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</si>
  <si>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</si>
  <si>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</si>
  <si>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</si>
  <si>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</si>
  <si>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</si>
  <si>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</si>
  <si>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</si>
  <si>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</si>
  <si>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</si>
  <si>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</si>
  <si>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</si>
  <si>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</si>
  <si>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</si>
  <si>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</si>
  <si>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</si>
  <si>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</si>
  <si>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</si>
  <si>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</si>
  <si>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</si>
  <si>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</si>
  <si>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</si>
  <si>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</si>
  <si>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</si>
  <si>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</si>
  <si>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</si>
  <si>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</si>
  <si>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</si>
  <si>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</si>
  <si>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</si>
  <si>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</si>
  <si>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</si>
  <si>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</si>
  <si>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</si>
  <si>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</si>
  <si>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</si>
  <si>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</si>
  <si>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</si>
  <si>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</si>
  <si>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</si>
  <si>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</si>
  <si>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</si>
  <si>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</si>
  <si>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</si>
  <si>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</si>
  <si>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</si>
  <si>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</si>
  <si>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</si>
  <si>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</si>
  <si>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</si>
  <si>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</si>
  <si>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</si>
  <si>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</si>
  <si>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</si>
  <si>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</si>
  <si>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</si>
  <si>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</si>
  <si>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</si>
  <si>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</si>
  <si>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</si>
  <si>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</si>
  <si>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</si>
  <si>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</si>
  <si>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</si>
  <si>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</si>
  <si>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</si>
  <si>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</si>
  <si>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</si>
  <si>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</si>
  <si>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</si>
  <si>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</si>
  <si>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</si>
  <si>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</si>
  <si>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</si>
  <si>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</si>
  <si>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</si>
  <si>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</si>
  <si>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</si>
  <si>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</si>
  <si>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</si>
  <si>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</si>
  <si>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</si>
  <si>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</si>
  <si>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</si>
  <si>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</si>
  <si>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</si>
  <si>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</si>
  <si>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</si>
  <si>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</si>
  <si>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</si>
  <si>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</si>
  <si>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</si>
  <si>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</si>
  <si>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</si>
  <si>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</si>
  <si>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</si>
  <si>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</si>
  <si>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</si>
  <si>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</si>
  <si>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</si>
  <si>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</si>
  <si>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</si>
  <si>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</si>
  <si>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</si>
  <si>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</si>
  <si>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</si>
  <si>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</si>
  <si>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</si>
  <si>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</si>
  <si>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</si>
  <si>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</si>
  <si>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</si>
  <si>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</si>
  <si>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</si>
  <si>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</si>
  <si>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</si>
  <si>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</si>
  <si>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</si>
  <si>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</si>
  <si>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</si>
  <si>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</si>
  <si>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</si>
  <si>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</si>
  <si>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</si>
  <si>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</si>
  <si>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</si>
  <si>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</si>
  <si>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</si>
  <si>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</si>
  <si>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</si>
  <si>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</si>
  <si>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</si>
  <si>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</si>
  <si>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</si>
  <si>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</si>
  <si>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</si>
  <si>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</si>
  <si>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</si>
  <si>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</si>
  <si>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</si>
  <si>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</si>
  <si>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</si>
  <si>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</si>
  <si>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</si>
  <si>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</si>
  <si>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</si>
  <si>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</si>
  <si>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</si>
  <si>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</si>
  <si>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</si>
  <si>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</si>
  <si>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</si>
  <si>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</si>
  <si>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</si>
  <si>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</si>
  <si>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</si>
  <si>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</si>
  <si>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</si>
  <si>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</si>
  <si>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</si>
  <si>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</si>
  <si>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</si>
  <si>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</si>
  <si>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</si>
  <si>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</si>
  <si>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</si>
  <si>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</si>
  <si>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</si>
  <si>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</si>
  <si>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</si>
  <si>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</si>
  <si>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</si>
  <si>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</si>
  <si>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</si>
  <si>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</si>
  <si>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</si>
  <si>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</si>
  <si>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</si>
  <si>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</si>
  <si>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</si>
  <si>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</si>
  <si>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</si>
  <si>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</si>
  <si>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</si>
  <si>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</si>
  <si>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</si>
  <si>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</si>
  <si>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</si>
  <si>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</si>
  <si>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</si>
  <si>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</si>
  <si>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</si>
  <si>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</si>
  <si>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</si>
  <si>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</si>
  <si>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</si>
  <si>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</si>
  <si>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</si>
  <si>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</si>
  <si>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</si>
  <si>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</si>
  <si>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</si>
  <si>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</si>
  <si>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</si>
  <si>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</si>
  <si>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</si>
  <si>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</si>
  <si>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</si>
  <si>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</si>
  <si>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</si>
  <si>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</si>
  <si>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</si>
  <si>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</si>
  <si>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</si>
  <si>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</si>
  <si>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</si>
  <si>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</si>
  <si>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</si>
  <si>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</si>
  <si>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</si>
  <si>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</si>
  <si>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</si>
  <si>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</si>
  <si>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</si>
  <si>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</si>
  <si>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</si>
  <si>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</si>
  <si>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</si>
  <si>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</si>
  <si>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</si>
  <si>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</si>
  <si>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</si>
  <si>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</si>
  <si>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</si>
  <si>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</si>
  <si>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</si>
  <si>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</si>
  <si>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</si>
  <si>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</si>
  <si>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</si>
  <si>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</si>
  <si>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</si>
  <si>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</si>
  <si>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</si>
  <si>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</si>
  <si>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</si>
  <si>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</si>
  <si>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</si>
  <si>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</si>
  <si>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</si>
  <si>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</si>
  <si>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</si>
  <si>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</si>
  <si>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</si>
  <si>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</si>
  <si>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</si>
  <si>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</si>
  <si>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</si>
  <si>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</si>
  <si>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</si>
  <si>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</si>
  <si>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</si>
  <si>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</si>
  <si>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</si>
  <si>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</si>
  <si>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</si>
  <si>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</si>
  <si>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</si>
  <si>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</si>
  <si>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</si>
  <si>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</si>
  <si>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</si>
  <si>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</si>
  <si>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</si>
  <si>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</si>
  <si>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</si>
  <si>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</si>
  <si>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</si>
  <si>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</si>
  <si>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</si>
  <si>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</si>
  <si>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</si>
  <si>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</si>
  <si>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</si>
  <si>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</si>
  <si>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</si>
  <si>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</si>
  <si>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</si>
  <si>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</si>
  <si>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</si>
  <si>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</si>
  <si>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</si>
  <si>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</si>
  <si>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</si>
  <si>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</si>
  <si>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</si>
  <si>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</si>
  <si>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</si>
  <si>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</si>
  <si>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</si>
  <si>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</si>
  <si>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</si>
  <si>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</si>
  <si>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</si>
  <si>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</si>
  <si>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</si>
  <si>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</si>
  <si>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</si>
  <si>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</si>
  <si>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</si>
  <si>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</si>
  <si>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</si>
  <si>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</si>
  <si>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</si>
  <si>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</si>
  <si>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</si>
  <si>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</si>
  <si>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</si>
  <si>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</si>
  <si>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</si>
  <si>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</si>
  <si>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</si>
  <si>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</si>
  <si>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</si>
  <si>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</si>
  <si>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</si>
  <si>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</si>
  <si>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</si>
  <si>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</si>
  <si>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</si>
  <si>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</si>
  <si>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</si>
  <si>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</si>
  <si>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</si>
  <si>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</si>
  <si>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</si>
  <si>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</si>
  <si>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</si>
  <si>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</si>
  <si>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</si>
  <si>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</si>
  <si>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</si>
  <si>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</si>
  <si>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</si>
  <si>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</si>
  <si>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</si>
  <si>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</si>
  <si>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</si>
  <si>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</si>
  <si>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</si>
  <si>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</si>
  <si>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</si>
  <si>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</si>
  <si>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</si>
  <si>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</si>
  <si>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</si>
  <si>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</si>
  <si>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</si>
  <si>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</si>
  <si>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</si>
  <si>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</si>
  <si>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</si>
  <si>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</si>
  <si>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</si>
  <si>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</si>
  <si>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</si>
  <si>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</si>
  <si>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</si>
  <si>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</si>
  <si>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</si>
  <si>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</si>
  <si>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</si>
  <si>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</si>
  <si>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</si>
  <si>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</si>
  <si>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</si>
  <si>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</si>
  <si>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</si>
  <si>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</si>
  <si>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</si>
  <si>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</si>
  <si>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</si>
  <si>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</si>
  <si>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</si>
  <si>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</si>
  <si>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</si>
  <si>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</si>
  <si>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</si>
  <si>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</si>
  <si>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</si>
  <si>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</si>
  <si>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</si>
  <si>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</si>
  <si>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</si>
  <si>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</si>
  <si>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</si>
  <si>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</si>
  <si>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</si>
  <si>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</si>
  <si>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</si>
  <si>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</si>
  <si>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</si>
  <si>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</si>
  <si>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</si>
  <si>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</si>
  <si>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</si>
  <si>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</si>
  <si>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</si>
  <si>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</si>
  <si>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</si>
  <si>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</si>
  <si>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</si>
  <si>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</si>
  <si>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</si>
  <si>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</si>
  <si>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</si>
  <si>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</si>
  <si>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</si>
  <si>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</si>
  <si>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</si>
  <si>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</si>
  <si>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</si>
  <si>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</si>
  <si>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</si>
  <si>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</si>
  <si>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</si>
  <si>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</si>
  <si>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</si>
  <si>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</si>
  <si>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</si>
  <si>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</si>
  <si>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</si>
  <si>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</si>
  <si>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</si>
  <si>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</si>
  <si>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</si>
  <si>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</si>
  <si>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</si>
  <si>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</si>
  <si>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</si>
  <si>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</si>
  <si>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</si>
  <si>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</si>
  <si>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</si>
  <si>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</si>
  <si>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</si>
  <si>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</si>
  <si>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</si>
  <si>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</si>
  <si>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</si>
  <si>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</si>
  <si>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</si>
  <si>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</si>
  <si>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</si>
  <si>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</si>
  <si>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</si>
  <si>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</si>
  <si>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</si>
  <si>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</si>
  <si>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</si>
  <si>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</si>
  <si>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</si>
  <si>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</si>
  <si>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</si>
  <si>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</si>
  <si>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</si>
  <si>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</si>
  <si>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</si>
  <si>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</si>
  <si>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</si>
  <si>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</si>
  <si>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</si>
  <si>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</si>
  <si>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</si>
  <si>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</si>
  <si>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</si>
  <si>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</si>
  <si>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</si>
  <si>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</si>
  <si>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</si>
  <si>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</si>
  <si>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</si>
  <si>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</si>
  <si>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</si>
  <si>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</si>
  <si>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</si>
  <si>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</si>
  <si>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</si>
  <si>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</si>
  <si>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</si>
  <si>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</si>
  <si>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</si>
  <si>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</si>
  <si>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</si>
  <si>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</si>
  <si>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</si>
  <si>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</si>
  <si>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</si>
  <si>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</si>
  <si>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</si>
  <si>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</si>
  <si>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</si>
  <si>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</si>
  <si>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</si>
  <si>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</si>
  <si>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</si>
  <si>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</si>
  <si>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</si>
  <si>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</si>
  <si>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</si>
  <si>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</si>
  <si>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</si>
  <si>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</si>
  <si>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</si>
  <si>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</si>
  <si>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</si>
  <si>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</si>
  <si>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</si>
  <si>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</si>
  <si>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</si>
  <si>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</si>
  <si>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</si>
  <si>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</si>
  <si>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</si>
  <si>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</si>
  <si>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</si>
  <si>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</si>
  <si>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</si>
  <si>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</si>
  <si>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</si>
  <si>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</si>
  <si>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</si>
  <si>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</si>
  <si>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</si>
  <si>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</si>
  <si>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</si>
  <si>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</si>
  <si>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</si>
  <si>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</si>
  <si>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</si>
  <si>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</si>
  <si>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</si>
  <si>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</si>
  <si>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</si>
  <si>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</si>
  <si>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</si>
  <si>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</si>
  <si>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</si>
  <si>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</si>
  <si>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</si>
  <si>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</si>
  <si>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</si>
  <si>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</si>
  <si>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</si>
  <si>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</si>
  <si>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</si>
  <si>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</si>
  <si>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</si>
  <si>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</si>
  <si>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</si>
  <si>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</si>
  <si>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</si>
  <si>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</si>
  <si>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</si>
  <si>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</si>
  <si>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</si>
  <si>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</si>
  <si>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</si>
  <si>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</si>
  <si>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</si>
  <si>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</si>
  <si>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</si>
  <si>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</si>
  <si>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</si>
  <si>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</si>
  <si>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</si>
  <si>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</si>
  <si>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</si>
  <si>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</si>
  <si>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</si>
  <si>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</si>
  <si>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</si>
  <si>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</si>
  <si>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</si>
  <si>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</si>
  <si>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</si>
  <si>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</si>
  <si>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</si>
  <si>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</si>
  <si>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</si>
  <si>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</si>
  <si>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</si>
  <si>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</si>
  <si>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</si>
  <si>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</si>
  <si>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</si>
  <si>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</si>
  <si>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</si>
  <si>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</si>
  <si>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</si>
  <si>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</si>
  <si>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</si>
  <si>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</si>
  <si>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</si>
  <si>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</si>
  <si>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</si>
  <si>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</si>
  <si>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</si>
  <si>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</si>
  <si>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</si>
  <si>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</si>
  <si>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</si>
  <si>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</si>
  <si>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</si>
  <si>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</si>
  <si>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</si>
  <si>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</si>
  <si>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</si>
  <si>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</si>
  <si>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</si>
  <si>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</si>
  <si>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</si>
  <si>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</si>
  <si>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</si>
  <si>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</si>
  <si>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</si>
  <si>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</si>
  <si>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</si>
  <si>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</si>
  <si>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</si>
  <si>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</si>
  <si>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</si>
  <si>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</si>
  <si>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</si>
  <si>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</si>
  <si>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</si>
  <si>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</si>
  <si>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</si>
  <si>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</si>
  <si>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</si>
  <si>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</si>
  <si>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</si>
  <si>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</si>
  <si>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</si>
  <si>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</si>
  <si>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</si>
  <si>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</si>
  <si>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</si>
  <si>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</si>
  <si>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</si>
  <si>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</si>
  <si>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</si>
  <si>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</si>
  <si>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</si>
  <si>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</si>
  <si>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</si>
  <si>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</si>
  <si>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</si>
  <si>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</si>
  <si>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</si>
  <si>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</si>
  <si>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</si>
  <si>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</si>
  <si>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</si>
  <si>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</si>
  <si>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</si>
  <si>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</si>
  <si>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</si>
  <si>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</si>
  <si>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</si>
  <si>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</si>
  <si>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</si>
  <si>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</si>
  <si>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</si>
  <si>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</si>
  <si>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</si>
  <si>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</si>
  <si>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</si>
  <si>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</si>
  <si>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</si>
  <si>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</si>
  <si>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</si>
  <si>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</si>
  <si>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</si>
  <si>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</si>
  <si>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</si>
  <si>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</si>
  <si>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</si>
  <si>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</si>
  <si>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</si>
  <si>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</si>
  <si>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</si>
  <si>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</si>
  <si>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</si>
  <si>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</si>
  <si>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</si>
  <si>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</si>
  <si>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</si>
  <si>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</si>
  <si>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</si>
  <si>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</si>
  <si>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</si>
  <si>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</si>
  <si>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</si>
  <si>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</si>
  <si>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</si>
  <si>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</si>
  <si>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</si>
  <si>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</si>
  <si>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</si>
  <si>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</si>
  <si>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</si>
  <si>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</si>
  <si>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</si>
  <si>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</si>
  <si>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</si>
  <si>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</si>
  <si>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</si>
  <si>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</si>
  <si>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</si>
  <si>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</si>
  <si>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</si>
  <si>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</si>
  <si>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</si>
  <si>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</si>
  <si>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</si>
  <si>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</si>
  <si>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</si>
  <si>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</si>
  <si>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</si>
  <si>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</si>
  <si>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</si>
  <si>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</si>
  <si>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</si>
  <si>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</si>
  <si>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</si>
  <si>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</si>
  <si>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</si>
  <si>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</si>
  <si>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</si>
  <si>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</si>
  <si>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</si>
  <si>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</si>
  <si>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</si>
  <si>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</si>
  <si>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</si>
  <si>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</si>
  <si>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</si>
  <si>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</si>
  <si>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</si>
  <si>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</si>
  <si>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</si>
  <si>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</si>
  <si>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</si>
  <si>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</si>
  <si>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</si>
  <si>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</si>
  <si>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</si>
  <si>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</si>
  <si>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</si>
  <si>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</si>
  <si>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</si>
  <si>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</si>
  <si>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</si>
  <si>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</si>
  <si>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</si>
  <si>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</si>
  <si>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</si>
  <si>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</si>
  <si>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</si>
  <si>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</si>
  <si>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</si>
  <si>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</si>
  <si>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</si>
  <si>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</si>
  <si>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</si>
  <si>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МАРИНА КЕЙП ТУРС</t>
  </si>
  <si>
    <t>01.01.2017</t>
  </si>
  <si>
    <t>Радостина Кралева Пантелеева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</si>
</sst>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/m/yyyy&quot; &quot;&quot;г.&quot;;@"/>
    <numFmt numFmtId="195" formatCode="dd/mm/yyyy&quot; &quot;&quot;г.&quot;;@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49" fontId="81" fillId="34" borderId="51" xfId="56" applyNumberFormat="1" applyFont="1" applyFill="1" applyBorder="1" applyAlignment="1" applyProtection="1">
      <alignment/>
      <protection locked="0"/>
    </xf>
    <xf numFmtId="49" fontId="81" fillId="34" borderId="11" xfId="56" applyNumberFormat="1" applyFont="1" applyFill="1" applyBorder="1" applyAlignment="1" applyProtection="1">
      <alignment/>
      <protection locked="0"/>
    </xf>
    <xf numFmtId="49" fontId="81" fillId="34" borderId="14" xfId="56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49" fontId="4" fillId="0" borderId="0" xfId="67" applyNumberFormat="1" applyFont="1" applyAlignment="1" applyProtection="1">
      <alignment vertical="top" wrapText="1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7" sqref="B1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43100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43189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"Оптима одит" АД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 t="s">
        <v>997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989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998</v>
      </c>
    </row>
    <row r="18" spans="1:2" ht="15.75">
      <c r="A18" s="7" t="s">
        <v>919</v>
      </c>
      <c r="B18" s="696" t="s">
        <v>991</v>
      </c>
    </row>
    <row r="19" spans="1:2" ht="15.75">
      <c r="A19" s="7" t="s">
        <v>4</v>
      </c>
      <c r="B19" s="696" t="s">
        <v>992</v>
      </c>
    </row>
    <row r="20" spans="1:2" ht="15.75">
      <c r="A20" s="7" t="s">
        <v>5</v>
      </c>
      <c r="B20" s="696" t="s">
        <v>992</v>
      </c>
    </row>
    <row r="21" spans="1:2" ht="15.75">
      <c r="A21" s="10" t="s">
        <v>6</v>
      </c>
      <c r="B21" s="697" t="s">
        <v>993</v>
      </c>
    </row>
    <row r="22" spans="1:2" ht="15.75">
      <c r="A22" s="10" t="s">
        <v>917</v>
      </c>
      <c r="B22" s="697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/>
    </row>
    <row r="25" spans="1:2" ht="15.75">
      <c r="A25" s="7" t="s">
        <v>921</v>
      </c>
      <c r="B25" s="700"/>
    </row>
    <row r="26" spans="1:2" ht="15.75">
      <c r="A26" s="10" t="s">
        <v>970</v>
      </c>
      <c r="B26" s="697" t="s">
        <v>995</v>
      </c>
    </row>
    <row r="27" spans="1:2" ht="15.75">
      <c r="A27" s="10" t="s">
        <v>971</v>
      </c>
      <c r="B27" s="697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5263</v>
      </c>
      <c r="D6" s="673">
        <f aca="true" t="shared" si="0" ref="D6:D15">C6-E6</f>
        <v>0</v>
      </c>
      <c r="E6" s="672">
        <f>'1-Баланс'!G95</f>
        <v>5263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357</v>
      </c>
      <c r="D7" s="673">
        <f t="shared" si="0"/>
        <v>352</v>
      </c>
      <c r="E7" s="672">
        <f>'1-Баланс'!G18</f>
        <v>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245</v>
      </c>
      <c r="D8" s="673">
        <f t="shared" si="0"/>
        <v>0</v>
      </c>
      <c r="E8" s="672">
        <f>ABS('2-Отчет за доходите'!C44)-ABS('2-Отчет за доходите'!G44)</f>
        <v>245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368</v>
      </c>
      <c r="D9" s="673">
        <f t="shared" si="0"/>
        <v>0</v>
      </c>
      <c r="E9" s="672">
        <f>'3-Отчет за паричния поток'!C45</f>
        <v>368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154</v>
      </c>
      <c r="D10" s="673">
        <f t="shared" si="0"/>
        <v>0</v>
      </c>
      <c r="E10" s="672">
        <f>'3-Отчет за паричния поток'!C46</f>
        <v>154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357</v>
      </c>
      <c r="D11" s="673">
        <f t="shared" si="0"/>
        <v>0</v>
      </c>
      <c r="E11" s="672">
        <f>'4-Отчет за собствения капитал'!L34</f>
        <v>357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10</v>
      </c>
      <c r="D12" s="673">
        <f t="shared" si="0"/>
        <v>0</v>
      </c>
      <c r="E12" s="672">
        <f>'Справка 5'!C27+'Справка 5'!C97</f>
        <v>10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0.06860823298795855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0.6862745098039216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0.04993885038728088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0.04655139654189626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1.086400973532096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1.197123729233821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0.9342920902553931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0.03818497396479048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0.03818497396479048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2.439207650273224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0.6785103553106593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0.7097560975609756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13.742296918767506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0.9321679650389512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431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1.207282913165266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0.13833660039204704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9.931174089068826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383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404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435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706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354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1060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2784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125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693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3614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135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154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4828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5263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470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245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352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357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873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873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873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3740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2702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369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182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155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332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293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4033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4033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5263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249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1100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63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209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169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150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1153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3132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147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155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3287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284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3287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284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39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39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245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245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3571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211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210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1608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1542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3571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3571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3571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3571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1559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-1087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-442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-232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-211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-214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368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154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140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14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79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79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79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79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79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79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79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79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79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79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79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79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79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79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79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79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79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79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79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79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79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79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79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79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79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79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79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79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79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79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79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79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79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79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79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79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79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79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79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79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79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79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79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79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79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79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79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79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79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79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79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79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79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79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79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79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79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79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79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79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79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79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79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79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79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79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79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79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79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79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79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79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79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79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79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79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79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79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79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79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79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79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79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79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79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79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79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79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79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79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79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79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79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79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79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79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79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79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79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79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79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79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79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79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79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79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79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79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79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79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79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79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79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79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79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79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79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79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79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79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79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79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79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79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79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79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79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79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79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79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470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79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79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79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79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470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79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245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79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79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79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79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79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79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79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79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79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79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79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79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79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715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79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79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79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715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79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79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79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79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79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79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79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79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79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79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79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79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79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79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79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79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79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79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79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-363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79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79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79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-363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79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79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79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79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79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79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79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79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79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79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79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79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79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79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79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79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79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79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79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79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79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79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112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79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79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79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79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112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79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245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79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79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79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79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79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79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79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79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79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79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79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79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79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357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79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79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79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357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79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79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79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79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79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79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79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79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79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79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79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79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79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79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79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79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79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79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79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79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79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79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79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79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79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353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79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79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546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79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81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79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79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89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79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1639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79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79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79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79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79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79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79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79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79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79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79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79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79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79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79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79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79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79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79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79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79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1712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79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79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79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79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79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79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79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79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79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79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79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79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79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79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79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79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79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79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79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79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79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79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79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79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79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79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79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79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79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79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79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79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79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244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79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79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233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79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79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79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40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79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517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79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79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79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79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79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79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79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79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79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79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79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79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79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79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79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79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79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79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79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79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79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517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79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79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79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111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79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79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313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79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83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79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79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49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79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1126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79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79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79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79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79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79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79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79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79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79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79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79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79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79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79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79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79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79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79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79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79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1199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79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79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79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79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79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79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79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79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79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79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79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79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79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79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79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79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79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79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79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79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79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79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79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79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79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79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79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79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79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79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79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79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79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79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79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79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79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79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79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79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79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79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79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79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79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79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79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79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79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79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79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79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79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79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79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79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79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79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79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79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79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79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79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111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79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79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313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79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83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79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79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49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79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1126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79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79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79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79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79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79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79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79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79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79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79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79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79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79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79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79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79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79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79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79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79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1199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79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79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163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79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346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79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79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488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79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67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79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79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89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79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1153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79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79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79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79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79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79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79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60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79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79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79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79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79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79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79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79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79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79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79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79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79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79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1213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79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79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79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79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79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79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79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79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79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61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79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79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79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79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79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79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79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79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79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79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79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79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79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79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79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79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79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79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79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79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79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64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79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79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79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245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79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79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207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79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79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79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40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79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492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79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79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79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79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79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79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79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79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79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79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79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79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79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79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79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79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79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79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79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79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79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492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79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79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187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79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105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79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79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306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79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75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79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79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79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722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79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79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79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79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79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79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79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79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79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79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79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79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79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79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79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79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79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79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79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79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79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785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79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79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79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79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79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79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79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79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79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79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79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79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79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79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79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79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79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79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79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79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79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79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79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79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79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79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79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79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79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79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79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79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79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79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79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79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79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79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79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79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79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79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79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79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79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79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79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79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79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79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79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79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79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79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79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79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79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79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79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79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79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79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187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79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105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79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79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306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79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75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79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79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79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722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79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79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79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79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79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79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79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79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79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79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79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79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79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79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79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79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79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79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79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79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79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785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79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79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383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79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79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79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7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79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79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79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79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404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79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79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79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79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79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79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79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79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79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79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79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79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79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79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79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79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79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79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79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79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79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414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79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79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79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79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79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79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79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79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79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79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79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79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2784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79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79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2784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79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79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152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79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79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79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79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79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56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79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79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56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79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79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79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1140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79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79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79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79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1140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79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4134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79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4155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79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79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79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79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79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79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79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79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79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79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79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21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79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2784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79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79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2784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79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79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152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79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79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79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79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79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56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79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79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56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79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79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79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1140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79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79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79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79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1140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79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4134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79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4155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79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79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79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79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79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79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79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79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79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79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79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79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79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79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79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79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79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79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79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79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79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79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79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79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79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79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79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79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79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79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79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79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79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79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79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79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79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79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79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79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79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79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79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79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79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757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79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79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757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79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79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2702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79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2702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79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79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79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79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79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79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79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79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79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79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79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79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79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1617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79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79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887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79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180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79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79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397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79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52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79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276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79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69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79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153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79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283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79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4602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79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5359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79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79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79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79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79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79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79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79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79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79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79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79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79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757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79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79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757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79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79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2702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79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2702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79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79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79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79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79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79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79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79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79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79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79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79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79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1617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79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79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887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79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180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79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79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397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79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52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79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276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79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69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79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153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79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283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79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4602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79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5359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79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79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79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79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79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79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79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79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79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79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79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79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79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79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79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79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79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79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79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79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79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79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79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79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79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79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79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79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79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79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79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79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79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79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79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79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79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79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79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79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79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79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79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79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79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79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79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79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79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79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79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79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79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79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79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79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79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79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79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79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79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79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79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79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79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79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79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79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79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79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79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79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79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79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79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79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79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79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79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79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79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79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79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79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79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79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79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79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79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79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79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79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79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79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79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79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79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79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79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79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79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79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5">
      <selection activeCell="B104" sqref="B104:E104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383</v>
      </c>
      <c r="D13" s="196">
        <v>407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</v>
      </c>
      <c r="D16" s="196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</v>
      </c>
      <c r="H18" s="608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404</v>
      </c>
      <c r="D20" s="596">
        <f>SUM(D12:D19)</f>
        <v>486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0</v>
      </c>
      <c r="H22" s="612">
        <f>SUM(H23:H25)</f>
        <v>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0</v>
      </c>
      <c r="H26" s="596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3</v>
      </c>
      <c r="E28" s="202" t="s">
        <v>84</v>
      </c>
      <c r="F28" s="93" t="s">
        <v>85</v>
      </c>
      <c r="G28" s="593">
        <f>SUM(G29:G31)</f>
        <v>107</v>
      </c>
      <c r="H28" s="594">
        <f>SUM(H29:H31)</f>
        <v>98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470</v>
      </c>
      <c r="H29" s="196">
        <v>461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-363</v>
      </c>
      <c r="H30" s="196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245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352</v>
      </c>
      <c r="H34" s="596">
        <f>H28+H32+H33</f>
        <v>107</v>
      </c>
    </row>
    <row r="35" spans="1:8" ht="15.75">
      <c r="A35" s="89" t="s">
        <v>106</v>
      </c>
      <c r="B35" s="94" t="s">
        <v>107</v>
      </c>
      <c r="C35" s="593">
        <f>SUM(C36:C39)</f>
        <v>10</v>
      </c>
      <c r="D35" s="594">
        <f>SUM(D36:D39)</f>
        <v>10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357</v>
      </c>
      <c r="H37" s="598">
        <f>H26+H18+H34</f>
        <v>112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</v>
      </c>
      <c r="D46" s="596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873</v>
      </c>
      <c r="H49" s="196">
        <v>1502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873</v>
      </c>
      <c r="H50" s="594">
        <f>SUM(H44:H49)</f>
        <v>1502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9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435</v>
      </c>
      <c r="D56" s="600">
        <f>D20+D21+D22+D28+D33+D46+D52+D54+D55</f>
        <v>520</v>
      </c>
      <c r="E56" s="100" t="s">
        <v>850</v>
      </c>
      <c r="F56" s="99" t="s">
        <v>172</v>
      </c>
      <c r="G56" s="597">
        <f>G50+G52+G53+G54+G55</f>
        <v>873</v>
      </c>
      <c r="H56" s="598">
        <f>H50+H52+H53+H54+H55</f>
        <v>1502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706</v>
      </c>
      <c r="D59" s="196">
        <v>724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354</v>
      </c>
      <c r="D61" s="196">
        <v>336</v>
      </c>
      <c r="E61" s="200" t="s">
        <v>188</v>
      </c>
      <c r="F61" s="93" t="s">
        <v>189</v>
      </c>
      <c r="G61" s="593">
        <f>SUM(G62:G68)</f>
        <v>3740</v>
      </c>
      <c r="H61" s="594">
        <f>SUM(H62:H68)</f>
        <v>4348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2702</v>
      </c>
      <c r="H62" s="196">
        <v>2918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369</v>
      </c>
      <c r="H64" s="196">
        <v>886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1060</v>
      </c>
      <c r="D65" s="596">
        <f>SUM(D59:D64)</f>
        <v>1060</v>
      </c>
      <c r="E65" s="89" t="s">
        <v>201</v>
      </c>
      <c r="F65" s="93" t="s">
        <v>202</v>
      </c>
      <c r="G65" s="197">
        <v>182</v>
      </c>
      <c r="H65" s="196">
        <v>198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>
        <v>4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155</v>
      </c>
      <c r="H67" s="196">
        <v>59</v>
      </c>
    </row>
    <row r="68" spans="1:8" ht="15.75">
      <c r="A68" s="89" t="s">
        <v>206</v>
      </c>
      <c r="B68" s="91" t="s">
        <v>207</v>
      </c>
      <c r="C68" s="197">
        <v>2784</v>
      </c>
      <c r="D68" s="196">
        <v>3015</v>
      </c>
      <c r="E68" s="89" t="s">
        <v>212</v>
      </c>
      <c r="F68" s="93" t="s">
        <v>213</v>
      </c>
      <c r="G68" s="197">
        <v>332</v>
      </c>
      <c r="H68" s="196">
        <v>283</v>
      </c>
    </row>
    <row r="69" spans="1:8" ht="15.75">
      <c r="A69" s="89" t="s">
        <v>210</v>
      </c>
      <c r="B69" s="91" t="s">
        <v>211</v>
      </c>
      <c r="C69" s="197">
        <v>125</v>
      </c>
      <c r="D69" s="196">
        <v>289</v>
      </c>
      <c r="E69" s="201" t="s">
        <v>79</v>
      </c>
      <c r="F69" s="93" t="s">
        <v>216</v>
      </c>
      <c r="G69" s="197">
        <v>293</v>
      </c>
      <c r="H69" s="196">
        <v>442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4033</v>
      </c>
      <c r="H71" s="596">
        <f>H59+H60+H61+H69+H70</f>
        <v>4790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10</v>
      </c>
      <c r="D73" s="196">
        <v>91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>
        <v>50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693</v>
      </c>
      <c r="D75" s="196">
        <v>1003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3614</v>
      </c>
      <c r="D76" s="596">
        <f>SUM(D68:D75)</f>
        <v>4454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4033</v>
      </c>
      <c r="H79" s="598">
        <f>H71+H73+H75+H77</f>
        <v>4790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135</v>
      </c>
      <c r="D88" s="196">
        <v>354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/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14</v>
      </c>
      <c r="D90" s="196">
        <v>14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154</v>
      </c>
      <c r="D92" s="596">
        <f>SUM(D88:D91)</f>
        <v>368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>
        <v>2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4828</v>
      </c>
      <c r="D94" s="600">
        <f>D65+D76+D85+D92+D93</f>
        <v>5884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5263</v>
      </c>
      <c r="D95" s="602">
        <f>D94+D56</f>
        <v>6404</v>
      </c>
      <c r="E95" s="229" t="s">
        <v>942</v>
      </c>
      <c r="F95" s="489" t="s">
        <v>268</v>
      </c>
      <c r="G95" s="601">
        <f>G37+G40+G56+G79</f>
        <v>5263</v>
      </c>
      <c r="H95" s="602">
        <f>H37+H40+H56+H79</f>
        <v>6404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43189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"Оптима одит" АД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48" t="str">
        <f>Начална!B17</f>
        <v>Радостина Кралева Пантелеева</v>
      </c>
      <c r="C103" s="701"/>
      <c r="D103" s="701"/>
      <c r="E103" s="701"/>
      <c r="M103" s="98"/>
    </row>
    <row r="104" spans="1:5" ht="21.75" customHeight="1">
      <c r="A104" s="691"/>
      <c r="B104" s="701" t="s">
        <v>979</v>
      </c>
      <c r="C104" s="701"/>
      <c r="D104" s="701"/>
      <c r="E104" s="701"/>
    </row>
    <row r="105" spans="1:13" ht="21.75" customHeight="1">
      <c r="A105" s="691"/>
      <c r="B105" s="701" t="s">
        <v>979</v>
      </c>
      <c r="C105" s="701"/>
      <c r="D105" s="701"/>
      <c r="E105" s="701"/>
      <c r="M105" s="98"/>
    </row>
    <row r="106" spans="1:5" ht="21.75" customHeight="1">
      <c r="A106" s="691"/>
      <c r="B106" s="701" t="s">
        <v>979</v>
      </c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B56" sqref="B56:E56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5+244</f>
        <v>249</v>
      </c>
      <c r="D12" s="317">
        <v>273</v>
      </c>
      <c r="E12" s="194" t="s">
        <v>277</v>
      </c>
      <c r="F12" s="240" t="s">
        <v>278</v>
      </c>
      <c r="G12" s="316">
        <v>211</v>
      </c>
      <c r="H12" s="317">
        <v>259</v>
      </c>
    </row>
    <row r="13" spans="1:8" ht="15.75">
      <c r="A13" s="194" t="s">
        <v>279</v>
      </c>
      <c r="B13" s="190" t="s">
        <v>280</v>
      </c>
      <c r="C13" s="316">
        <v>1100</v>
      </c>
      <c r="D13" s="317">
        <v>899</v>
      </c>
      <c r="E13" s="194" t="s">
        <v>281</v>
      </c>
      <c r="F13" s="240" t="s">
        <v>282</v>
      </c>
      <c r="G13" s="316">
        <v>210</v>
      </c>
      <c r="H13" s="317">
        <v>236</v>
      </c>
    </row>
    <row r="14" spans="1:8" ht="15.75">
      <c r="A14" s="194" t="s">
        <v>283</v>
      </c>
      <c r="B14" s="190" t="s">
        <v>284</v>
      </c>
      <c r="C14" s="316">
        <v>63</v>
      </c>
      <c r="D14" s="317">
        <v>75</v>
      </c>
      <c r="E14" s="245" t="s">
        <v>285</v>
      </c>
      <c r="F14" s="240" t="s">
        <v>286</v>
      </c>
      <c r="G14" s="316">
        <v>1608</v>
      </c>
      <c r="H14" s="317">
        <v>1357</v>
      </c>
    </row>
    <row r="15" spans="1:8" ht="15.75">
      <c r="A15" s="194" t="s">
        <v>287</v>
      </c>
      <c r="B15" s="190" t="s">
        <v>288</v>
      </c>
      <c r="C15" s="316">
        <v>209</v>
      </c>
      <c r="D15" s="317">
        <v>151</v>
      </c>
      <c r="E15" s="245" t="s">
        <v>79</v>
      </c>
      <c r="F15" s="240" t="s">
        <v>289</v>
      </c>
      <c r="G15" s="316">
        <f>444+658+440</f>
        <v>1542</v>
      </c>
      <c r="H15" s="317">
        <v>52</v>
      </c>
    </row>
    <row r="16" spans="1:8" ht="15.75">
      <c r="A16" s="194" t="s">
        <v>290</v>
      </c>
      <c r="B16" s="190" t="s">
        <v>291</v>
      </c>
      <c r="C16" s="316">
        <v>39</v>
      </c>
      <c r="D16" s="317">
        <v>27</v>
      </c>
      <c r="E16" s="236" t="s">
        <v>52</v>
      </c>
      <c r="F16" s="264" t="s">
        <v>292</v>
      </c>
      <c r="G16" s="626">
        <f>SUM(G12:G15)</f>
        <v>3571</v>
      </c>
      <c r="H16" s="627">
        <f>SUM(H12:H15)</f>
        <v>1904</v>
      </c>
    </row>
    <row r="17" spans="1:8" ht="31.5">
      <c r="A17" s="194" t="s">
        <v>293</v>
      </c>
      <c r="B17" s="190" t="s">
        <v>294</v>
      </c>
      <c r="C17" s="316">
        <v>169</v>
      </c>
      <c r="D17" s="317">
        <v>154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150</v>
      </c>
      <c r="D18" s="317">
        <v>121</v>
      </c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f>470+683</f>
        <v>1153</v>
      </c>
      <c r="D19" s="317">
        <v>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3132</v>
      </c>
      <c r="D22" s="627">
        <f>SUM(D12:D18)+D19</f>
        <v>1769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35+112</f>
        <v>147</v>
      </c>
      <c r="D25" s="317">
        <v>113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155</v>
      </c>
      <c r="D29" s="627">
        <f>SUM(D25:D28)</f>
        <v>120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3287</v>
      </c>
      <c r="D31" s="633">
        <f>D29+D22</f>
        <v>1889</v>
      </c>
      <c r="E31" s="251" t="s">
        <v>824</v>
      </c>
      <c r="F31" s="266" t="s">
        <v>331</v>
      </c>
      <c r="G31" s="253">
        <f>G16+G18+G27</f>
        <v>3571</v>
      </c>
      <c r="H31" s="254">
        <f>H16+H18+H27</f>
        <v>1904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284</v>
      </c>
      <c r="D33" s="244">
        <f>IF((H31-D31)&gt;0,H31-D31,0)</f>
        <v>15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3287</v>
      </c>
      <c r="D36" s="635">
        <f>D31-D34+D35</f>
        <v>1889</v>
      </c>
      <c r="E36" s="262" t="s">
        <v>346</v>
      </c>
      <c r="F36" s="256" t="s">
        <v>347</v>
      </c>
      <c r="G36" s="267">
        <f>G35-G34+G31</f>
        <v>3571</v>
      </c>
      <c r="H36" s="268">
        <f>H35-H34+H31</f>
        <v>1904</v>
      </c>
    </row>
    <row r="37" spans="1:8" ht="15.75">
      <c r="A37" s="261" t="s">
        <v>348</v>
      </c>
      <c r="B37" s="231" t="s">
        <v>349</v>
      </c>
      <c r="C37" s="632">
        <f>IF((G36-C36)&gt;0,G36-C36,0)</f>
        <v>284</v>
      </c>
      <c r="D37" s="633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39</v>
      </c>
      <c r="D38" s="627">
        <f>D39+D40+D41</f>
        <v>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39</v>
      </c>
      <c r="D39" s="317">
        <v>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245</v>
      </c>
      <c r="D42" s="244">
        <f>+IF((H36-D36-D38)&gt;0,H36-D36-D38,0)</f>
        <v>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245</v>
      </c>
      <c r="D44" s="268">
        <f>IF(H42=0,IF(D42-D43&gt;0,D42-D43+H43,0),IF(H42-H43&lt;0,H43-H42+D42,0))</f>
        <v>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3571</v>
      </c>
      <c r="D45" s="629">
        <f>D36+D38+D42</f>
        <v>1904</v>
      </c>
      <c r="E45" s="270" t="s">
        <v>373</v>
      </c>
      <c r="F45" s="272" t="s">
        <v>374</v>
      </c>
      <c r="G45" s="628">
        <f>G42+G36</f>
        <v>3571</v>
      </c>
      <c r="H45" s="629">
        <f>H42+H36</f>
        <v>1904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43189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"Оптима одит"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48" t="str">
        <f>Начална!B17</f>
        <v>Радостина Кралева Пантелеева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1559</v>
      </c>
      <c r="D11" s="196">
        <v>1609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-1087</v>
      </c>
      <c r="D12" s="196">
        <v>-984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-442</v>
      </c>
      <c r="D14" s="196">
        <v>-150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</v>
      </c>
      <c r="D18" s="196">
        <v>-8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18-250</f>
        <v>-232</v>
      </c>
      <c r="D20" s="196">
        <v>-149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-211</v>
      </c>
      <c r="D21" s="657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</v>
      </c>
      <c r="D33" s="657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-214</v>
      </c>
      <c r="D44" s="307">
        <f>D43+D33+D21</f>
        <v>296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368</v>
      </c>
      <c r="D45" s="309">
        <v>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154</v>
      </c>
      <c r="D46" s="311">
        <f>D45+D44</f>
        <v>368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140</v>
      </c>
      <c r="D47" s="298">
        <v>354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14</v>
      </c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43189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"Оптима одит" АД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48" t="str">
        <f>Начална!B17</f>
        <v>Радостина Кралева Пантелеева</v>
      </c>
      <c r="C59" s="701"/>
      <c r="D59" s="701"/>
      <c r="E59" s="701"/>
      <c r="F59" s="574"/>
      <c r="G59" s="45"/>
      <c r="H59" s="42"/>
    </row>
    <row r="60" spans="1:8" ht="15.75">
      <c r="A60" s="691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4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5</v>
      </c>
      <c r="D13" s="582">
        <f>'1-Баланс'!H20</f>
        <v>0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/>
      <c r="I13" s="582">
        <f>'1-Баланс'!H29+'1-Баланс'!H32</f>
        <v>470</v>
      </c>
      <c r="J13" s="582">
        <f>'1-Баланс'!H30+'1-Баланс'!H33</f>
        <v>-363</v>
      </c>
      <c r="K13" s="583"/>
      <c r="L13" s="582">
        <f>SUM(C13:K13)</f>
        <v>112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0</v>
      </c>
      <c r="G17" s="651">
        <f t="shared" si="2"/>
        <v>0</v>
      </c>
      <c r="H17" s="651">
        <f t="shared" si="2"/>
        <v>0</v>
      </c>
      <c r="I17" s="651">
        <f t="shared" si="2"/>
        <v>470</v>
      </c>
      <c r="J17" s="651">
        <f t="shared" si="2"/>
        <v>-363</v>
      </c>
      <c r="K17" s="651">
        <f t="shared" si="2"/>
        <v>0</v>
      </c>
      <c r="L17" s="582">
        <f t="shared" si="1"/>
        <v>112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245</v>
      </c>
      <c r="J18" s="582">
        <f>+'1-Баланс'!G33</f>
        <v>0</v>
      </c>
      <c r="K18" s="583"/>
      <c r="L18" s="582">
        <f t="shared" si="1"/>
        <v>245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0</v>
      </c>
      <c r="G31" s="651">
        <f t="shared" si="6"/>
        <v>0</v>
      </c>
      <c r="H31" s="651">
        <f t="shared" si="6"/>
        <v>0</v>
      </c>
      <c r="I31" s="651">
        <f t="shared" si="6"/>
        <v>715</v>
      </c>
      <c r="J31" s="651">
        <f t="shared" si="6"/>
        <v>-363</v>
      </c>
      <c r="K31" s="651">
        <f t="shared" si="6"/>
        <v>0</v>
      </c>
      <c r="L31" s="582">
        <f t="shared" si="1"/>
        <v>357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5</v>
      </c>
      <c r="D34" s="585">
        <f t="shared" si="7"/>
        <v>0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0</v>
      </c>
      <c r="I34" s="585">
        <f t="shared" si="7"/>
        <v>715</v>
      </c>
      <c r="J34" s="585">
        <f t="shared" si="7"/>
        <v>-363</v>
      </c>
      <c r="K34" s="585">
        <f t="shared" si="7"/>
        <v>0</v>
      </c>
      <c r="L34" s="649">
        <f t="shared" si="1"/>
        <v>357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43189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"Оптима одит"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48" t="str">
        <f>Начална!B17</f>
        <v>Радостина Кралева Пантелеева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0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996</v>
      </c>
      <c r="B12" s="678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43189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"Оптима одит" АД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48" t="str">
        <f>Начална!B17</f>
        <v>Радостина Кралева Пантелеева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30">
      <selection activeCell="C51" sqref="C51:F51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163</v>
      </c>
      <c r="L12" s="328">
        <v>24</v>
      </c>
      <c r="M12" s="328"/>
      <c r="N12" s="329">
        <f aca="true" t="shared" si="4" ref="N12:N41">K12+L12-M12</f>
        <v>187</v>
      </c>
      <c r="O12" s="328"/>
      <c r="P12" s="328"/>
      <c r="Q12" s="329">
        <f t="shared" si="0"/>
        <v>187</v>
      </c>
      <c r="R12" s="340">
        <f t="shared" si="1"/>
        <v>383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353</v>
      </c>
      <c r="E13" s="328">
        <v>2</v>
      </c>
      <c r="F13" s="328">
        <v>244</v>
      </c>
      <c r="G13" s="329">
        <f t="shared" si="2"/>
        <v>111</v>
      </c>
      <c r="H13" s="328"/>
      <c r="I13" s="328"/>
      <c r="J13" s="329">
        <f t="shared" si="3"/>
        <v>111</v>
      </c>
      <c r="K13" s="328">
        <v>346</v>
      </c>
      <c r="L13" s="328">
        <v>4</v>
      </c>
      <c r="M13" s="328">
        <v>245</v>
      </c>
      <c r="N13" s="329">
        <f t="shared" si="4"/>
        <v>105</v>
      </c>
      <c r="O13" s="328"/>
      <c r="P13" s="328"/>
      <c r="Q13" s="329">
        <f t="shared" si="0"/>
        <v>105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546</v>
      </c>
      <c r="E15" s="328"/>
      <c r="F15" s="328">
        <v>233</v>
      </c>
      <c r="G15" s="329">
        <f t="shared" si="2"/>
        <v>313</v>
      </c>
      <c r="H15" s="328"/>
      <c r="I15" s="328"/>
      <c r="J15" s="329">
        <f t="shared" si="3"/>
        <v>313</v>
      </c>
      <c r="K15" s="328">
        <v>488</v>
      </c>
      <c r="L15" s="328">
        <v>25</v>
      </c>
      <c r="M15" s="328">
        <v>207</v>
      </c>
      <c r="N15" s="329">
        <f t="shared" si="4"/>
        <v>306</v>
      </c>
      <c r="O15" s="328"/>
      <c r="P15" s="328"/>
      <c r="Q15" s="329">
        <f t="shared" si="0"/>
        <v>306</v>
      </c>
      <c r="R15" s="340">
        <f t="shared" si="1"/>
        <v>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81</v>
      </c>
      <c r="E16" s="328">
        <v>2</v>
      </c>
      <c r="F16" s="328"/>
      <c r="G16" s="329">
        <f t="shared" si="2"/>
        <v>83</v>
      </c>
      <c r="H16" s="328"/>
      <c r="I16" s="328"/>
      <c r="J16" s="329">
        <f t="shared" si="3"/>
        <v>83</v>
      </c>
      <c r="K16" s="328">
        <v>67</v>
      </c>
      <c r="L16" s="328">
        <v>8</v>
      </c>
      <c r="M16" s="328"/>
      <c r="N16" s="329">
        <f t="shared" si="4"/>
        <v>75</v>
      </c>
      <c r="O16" s="328"/>
      <c r="P16" s="328"/>
      <c r="Q16" s="329">
        <f t="shared" si="0"/>
        <v>75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89</v>
      </c>
      <c r="E18" s="328"/>
      <c r="F18" s="328">
        <v>40</v>
      </c>
      <c r="G18" s="329">
        <f t="shared" si="2"/>
        <v>49</v>
      </c>
      <c r="H18" s="328"/>
      <c r="I18" s="328"/>
      <c r="J18" s="329">
        <f t="shared" si="3"/>
        <v>49</v>
      </c>
      <c r="K18" s="328">
        <v>89</v>
      </c>
      <c r="L18" s="328"/>
      <c r="M18" s="328">
        <v>40</v>
      </c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1639</v>
      </c>
      <c r="E19" s="330">
        <f>SUM(E11:E18)</f>
        <v>4</v>
      </c>
      <c r="F19" s="330">
        <f>SUM(F11:F18)</f>
        <v>517</v>
      </c>
      <c r="G19" s="329">
        <f t="shared" si="2"/>
        <v>1126</v>
      </c>
      <c r="H19" s="330">
        <f>SUM(H11:H18)</f>
        <v>0</v>
      </c>
      <c r="I19" s="330">
        <f>SUM(I11:I18)</f>
        <v>0</v>
      </c>
      <c r="J19" s="329">
        <f t="shared" si="3"/>
        <v>1126</v>
      </c>
      <c r="K19" s="330">
        <f>SUM(K11:K18)</f>
        <v>1153</v>
      </c>
      <c r="L19" s="330">
        <f>SUM(L11:L18)</f>
        <v>61</v>
      </c>
      <c r="M19" s="330">
        <f>SUM(M11:M18)</f>
        <v>492</v>
      </c>
      <c r="N19" s="329">
        <f t="shared" si="4"/>
        <v>722</v>
      </c>
      <c r="O19" s="330">
        <f>SUM(O11:O18)</f>
        <v>0</v>
      </c>
      <c r="P19" s="330">
        <f>SUM(P11:P18)</f>
        <v>0</v>
      </c>
      <c r="Q19" s="329">
        <f t="shared" si="0"/>
        <v>722</v>
      </c>
      <c r="R19" s="340">
        <f t="shared" si="1"/>
        <v>404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60</v>
      </c>
      <c r="L24" s="328">
        <v>3</v>
      </c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60</v>
      </c>
      <c r="L27" s="332">
        <f t="shared" si="5"/>
        <v>3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1712</v>
      </c>
      <c r="E42" s="349">
        <f>E19+E20+E21+E27+E40+E41</f>
        <v>4</v>
      </c>
      <c r="F42" s="349">
        <f aca="true" t="shared" si="11" ref="F42:R42">F19+F20+F21+F27+F40+F41</f>
        <v>517</v>
      </c>
      <c r="G42" s="349">
        <f t="shared" si="11"/>
        <v>1199</v>
      </c>
      <c r="H42" s="349">
        <f t="shared" si="11"/>
        <v>0</v>
      </c>
      <c r="I42" s="349">
        <f t="shared" si="11"/>
        <v>0</v>
      </c>
      <c r="J42" s="349">
        <f t="shared" si="11"/>
        <v>1199</v>
      </c>
      <c r="K42" s="349">
        <f t="shared" si="11"/>
        <v>1213</v>
      </c>
      <c r="L42" s="349">
        <f t="shared" si="11"/>
        <v>64</v>
      </c>
      <c r="M42" s="349">
        <f t="shared" si="11"/>
        <v>492</v>
      </c>
      <c r="N42" s="349">
        <f t="shared" si="11"/>
        <v>785</v>
      </c>
      <c r="O42" s="349">
        <f t="shared" si="11"/>
        <v>0</v>
      </c>
      <c r="P42" s="349">
        <f t="shared" si="11"/>
        <v>0</v>
      </c>
      <c r="Q42" s="349">
        <f t="shared" si="11"/>
        <v>785</v>
      </c>
      <c r="R42" s="350">
        <f t="shared" si="11"/>
        <v>414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43189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"Оптима одит" АД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48" t="str">
        <f>Начална!B17</f>
        <v>Радостина Кралева Пантелеева</v>
      </c>
      <c r="D50" s="701"/>
      <c r="E50" s="701"/>
      <c r="F50" s="701"/>
      <c r="G50" s="574"/>
      <c r="H50" s="45"/>
      <c r="I50" s="42"/>
    </row>
    <row r="51" spans="2:9" ht="15.75">
      <c r="B51" s="691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0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>
        <v>21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2784</v>
      </c>
      <c r="D26" s="362">
        <f>SUM(D27:D29)</f>
        <v>2784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2784</v>
      </c>
      <c r="D28" s="368">
        <v>2784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197"/>
      <c r="D29" s="197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152</v>
      </c>
      <c r="D30" s="197">
        <v>152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2</v>
      </c>
      <c r="D31" s="197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56</v>
      </c>
      <c r="D35" s="362">
        <f>SUM(D36:D39)</f>
        <v>56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56</v>
      </c>
      <c r="D37" s="368">
        <v>56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1140</v>
      </c>
      <c r="D40" s="362">
        <f>SUM(D41:D44)</f>
        <v>1140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1140</v>
      </c>
      <c r="D44" s="368">
        <v>1140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4134</v>
      </c>
      <c r="D45" s="438">
        <f>D26+D30+D31+D33+D32+D34+D35+D40</f>
        <v>4134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4155</v>
      </c>
      <c r="D46" s="444">
        <f>D45+D23+D21+D11</f>
        <v>4155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757</v>
      </c>
      <c r="D66" s="197">
        <v>757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757</v>
      </c>
      <c r="D68" s="435">
        <f>D54+D58+D63+D64+D65+D66</f>
        <v>757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2702</v>
      </c>
      <c r="D73" s="137">
        <f>SUM(D74:D76)</f>
        <v>2702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2702</v>
      </c>
      <c r="D74" s="197">
        <v>2702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1617</v>
      </c>
      <c r="D87" s="134">
        <f>SUM(D88:D92)+D96</f>
        <v>1617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887</v>
      </c>
      <c r="D89" s="197">
        <v>887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180</v>
      </c>
      <c r="D90" s="197">
        <v>180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397</v>
      </c>
      <c r="D92" s="138">
        <f>SUM(D93:D95)</f>
        <v>397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52</v>
      </c>
      <c r="D93" s="197">
        <v>52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276</v>
      </c>
      <c r="D94" s="197">
        <v>276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69</v>
      </c>
      <c r="D95" s="197">
        <v>69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153</v>
      </c>
      <c r="D96" s="197">
        <v>153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283</v>
      </c>
      <c r="D97" s="197">
        <v>283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4602</v>
      </c>
      <c r="D98" s="433">
        <f>D87+D82+D77+D73+D97</f>
        <v>4602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5359</v>
      </c>
      <c r="D99" s="427">
        <f>D98+D70+D68</f>
        <v>5359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43189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"Оптима одит" АД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48" t="str">
        <f>Начална!B17</f>
        <v>Радостина Кралева Пантелеева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 t="s">
        <v>979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979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979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6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43189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"Оптима одит"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0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1"/>
      <c r="B36" s="748" t="str">
        <f>Начална!B17</f>
        <v>Радостина Кралева Пантелеева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2018-04-02T15:52:09Z</dcterms:modified>
  <cp:category/>
  <cp:version/>
  <cp:contentType/>
  <cp:contentStatus/>
</cp:coreProperties>
</file>